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7725" yWindow="465" windowWidth="21075" windowHeight="16440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7" i="1" l="1"/>
  <c r="C17" i="1" l="1"/>
  <c r="C18" i="1" s="1"/>
  <c r="B16" i="2"/>
  <c r="C9" i="1"/>
  <c r="C10" i="1" s="1"/>
  <c r="G8" i="1" s="1"/>
  <c r="G11" i="1" s="1"/>
  <c r="C20" i="1" l="1"/>
  <c r="G9" i="1"/>
  <c r="F22" i="2" l="1"/>
  <c r="C21" i="1" l="1"/>
  <c r="C22" i="1" l="1"/>
  <c r="C23" i="1"/>
  <c r="C24" i="1" s="1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3" i="2"/>
  <c r="F24" i="2"/>
  <c r="F25" i="2"/>
  <c r="F26" i="2"/>
  <c r="F2" i="2"/>
  <c r="G10" i="1" l="1"/>
  <c r="C4" i="1" l="1"/>
  <c r="C2" i="1"/>
  <c r="C25" i="1" s="1"/>
  <c r="C29" i="1" s="1"/>
  <c r="B10" i="2"/>
  <c r="C14" i="1" l="1"/>
  <c r="C15" i="1" s="1"/>
  <c r="G13" i="1" s="1"/>
  <c r="E20" i="1" l="1"/>
  <c r="E21" i="1" s="1"/>
  <c r="G14" i="1"/>
  <c r="E24" i="1" l="1"/>
  <c r="G15" i="1"/>
  <c r="E23" i="1"/>
  <c r="E22" i="1"/>
</calcChain>
</file>

<file path=xl/sharedStrings.xml><?xml version="1.0" encoding="utf-8"?>
<sst xmlns="http://schemas.openxmlformats.org/spreadsheetml/2006/main" count="111" uniqueCount="80">
  <si>
    <t>Water temperature</t>
  </si>
  <si>
    <t>(°C)</t>
  </si>
  <si>
    <r>
      <t>Influent NO</t>
    </r>
    <r>
      <rPr>
        <b/>
        <vertAlign val="subscript"/>
        <sz val="12"/>
        <color theme="1"/>
        <rFont val="Calibri (Body)"/>
      </rPr>
      <t>3</t>
    </r>
    <r>
      <rPr>
        <b/>
        <sz val="12"/>
        <color theme="1"/>
        <rFont val="Calibri"/>
        <family val="2"/>
        <scheme val="minor"/>
      </rPr>
      <t xml:space="preserve"> concentration</t>
    </r>
  </si>
  <si>
    <r>
      <t>Target NO</t>
    </r>
    <r>
      <rPr>
        <b/>
        <vertAlign val="subscript"/>
        <sz val="12"/>
        <color theme="1"/>
        <rFont val="Calibri (Body)"/>
      </rPr>
      <t>3</t>
    </r>
    <r>
      <rPr>
        <b/>
        <sz val="12"/>
        <color theme="1"/>
        <rFont val="Calibri"/>
        <family val="2"/>
        <scheme val="minor"/>
      </rPr>
      <t xml:space="preserve"> concentration</t>
    </r>
  </si>
  <si>
    <r>
      <t>(mg NO</t>
    </r>
    <r>
      <rPr>
        <b/>
        <vertAlign val="subscript"/>
        <sz val="12"/>
        <color theme="1"/>
        <rFont val="Calibri (Body)"/>
      </rPr>
      <t>3</t>
    </r>
    <r>
      <rPr>
        <b/>
        <sz val="12"/>
        <color theme="1"/>
        <rFont val="Calibri"/>
        <family val="2"/>
        <scheme val="minor"/>
      </rPr>
      <t>/L)</t>
    </r>
  </si>
  <si>
    <t>MM N</t>
  </si>
  <si>
    <t>g/mol</t>
  </si>
  <si>
    <r>
      <t>MM NO</t>
    </r>
    <r>
      <rPr>
        <vertAlign val="subscript"/>
        <sz val="12"/>
        <color theme="1"/>
        <rFont val="Calibri (Body)"/>
      </rPr>
      <t>3</t>
    </r>
  </si>
  <si>
    <t>MM P</t>
  </si>
  <si>
    <r>
      <t>MM PO</t>
    </r>
    <r>
      <rPr>
        <vertAlign val="subscript"/>
        <sz val="12"/>
        <color theme="1"/>
        <rFont val="Calibri (Body)"/>
      </rPr>
      <t>4</t>
    </r>
  </si>
  <si>
    <r>
      <t>MM H</t>
    </r>
    <r>
      <rPr>
        <vertAlign val="subscript"/>
        <sz val="12"/>
        <color theme="1"/>
        <rFont val="Calibri (Body)"/>
      </rPr>
      <t>3</t>
    </r>
    <r>
      <rPr>
        <sz val="12"/>
        <color theme="1"/>
        <rFont val="Calibri"/>
        <family val="2"/>
        <scheme val="minor"/>
      </rPr>
      <t>PO</t>
    </r>
    <r>
      <rPr>
        <vertAlign val="subscript"/>
        <sz val="12"/>
        <color theme="1"/>
        <rFont val="Calibri (Body)"/>
      </rPr>
      <t>4</t>
    </r>
  </si>
  <si>
    <r>
      <t>MM NH</t>
    </r>
    <r>
      <rPr>
        <vertAlign val="subscript"/>
        <sz val="12"/>
        <color theme="1"/>
        <rFont val="Calibri (Body)"/>
      </rPr>
      <t>4</t>
    </r>
    <r>
      <rPr>
        <sz val="12"/>
        <color theme="1"/>
        <rFont val="Calibri"/>
        <family val="2"/>
        <scheme val="minor"/>
      </rPr>
      <t>NO</t>
    </r>
    <r>
      <rPr>
        <vertAlign val="subscript"/>
        <sz val="12"/>
        <color theme="1"/>
        <rFont val="Calibri (Body)"/>
      </rPr>
      <t>3</t>
    </r>
  </si>
  <si>
    <t>COD Carbo ST</t>
  </si>
  <si>
    <r>
      <t>kgO</t>
    </r>
    <r>
      <rPr>
        <vertAlign val="subscript"/>
        <sz val="12"/>
        <color theme="1"/>
        <rFont val="Calibri (Body)"/>
      </rPr>
      <t>2</t>
    </r>
    <r>
      <rPr>
        <sz val="12"/>
        <color theme="1"/>
        <rFont val="Calibri"/>
        <family val="2"/>
        <scheme val="minor"/>
      </rPr>
      <t>/L</t>
    </r>
  </si>
  <si>
    <t>Density Carbo ST</t>
  </si>
  <si>
    <t>kg/L</t>
  </si>
  <si>
    <t>Price Carbo ST</t>
  </si>
  <si>
    <t>€/kg</t>
  </si>
  <si>
    <r>
      <t>Density H</t>
    </r>
    <r>
      <rPr>
        <vertAlign val="subscript"/>
        <sz val="12"/>
        <color theme="1"/>
        <rFont val="Calibri (Body)"/>
      </rPr>
      <t>3</t>
    </r>
    <r>
      <rPr>
        <sz val="12"/>
        <color theme="1"/>
        <rFont val="Calibri"/>
        <family val="2"/>
        <scheme val="minor"/>
      </rPr>
      <t>PO</t>
    </r>
    <r>
      <rPr>
        <vertAlign val="subscript"/>
        <sz val="12"/>
        <color theme="1"/>
        <rFont val="Calibri (Body)"/>
      </rPr>
      <t>4</t>
    </r>
    <r>
      <rPr>
        <sz val="12"/>
        <color theme="1"/>
        <rFont val="Calibri"/>
        <family val="2"/>
        <scheme val="minor"/>
      </rPr>
      <t xml:space="preserve"> 75%</t>
    </r>
  </si>
  <si>
    <r>
      <t>Price H</t>
    </r>
    <r>
      <rPr>
        <vertAlign val="subscript"/>
        <sz val="12"/>
        <color theme="1"/>
        <rFont val="Calibri (Body)"/>
      </rPr>
      <t>3</t>
    </r>
    <r>
      <rPr>
        <sz val="12"/>
        <color theme="1"/>
        <rFont val="Calibri"/>
        <family val="2"/>
        <scheme val="minor"/>
      </rPr>
      <t>PO</t>
    </r>
    <r>
      <rPr>
        <vertAlign val="subscript"/>
        <sz val="12"/>
        <color theme="1"/>
        <rFont val="Calibri (Body)"/>
      </rPr>
      <t>4</t>
    </r>
    <r>
      <rPr>
        <sz val="12"/>
        <color theme="1"/>
        <rFont val="Calibri"/>
        <family val="2"/>
        <scheme val="minor"/>
      </rPr>
      <t xml:space="preserve"> 75%</t>
    </r>
  </si>
  <si>
    <t>max pump flow Carbo ST</t>
  </si>
  <si>
    <t>L/h</t>
  </si>
  <si>
    <r>
      <t>g NO</t>
    </r>
    <r>
      <rPr>
        <vertAlign val="subscript"/>
        <sz val="12"/>
        <color theme="1"/>
        <rFont val="Calibri (Body)"/>
      </rPr>
      <t>3</t>
    </r>
    <r>
      <rPr>
        <sz val="12"/>
        <color theme="1"/>
        <rFont val="Calibri"/>
        <family val="2"/>
        <scheme val="minor"/>
      </rPr>
      <t>-N/m</t>
    </r>
    <r>
      <rPr>
        <vertAlign val="superscript"/>
        <sz val="12"/>
        <color theme="1"/>
        <rFont val="Calibri (Body)"/>
      </rPr>
      <t>2</t>
    </r>
    <r>
      <rPr>
        <sz val="12"/>
        <color theme="1"/>
        <rFont val="Calibri"/>
        <family val="2"/>
        <scheme val="minor"/>
      </rPr>
      <t xml:space="preserve">.d </t>
    </r>
  </si>
  <si>
    <r>
      <t>g NO</t>
    </r>
    <r>
      <rPr>
        <vertAlign val="subscript"/>
        <sz val="12"/>
        <color theme="1"/>
        <rFont val="Calibri (Body)"/>
      </rPr>
      <t>3</t>
    </r>
    <r>
      <rPr>
        <sz val="12"/>
        <color theme="1"/>
        <rFont val="Calibri"/>
        <family val="2"/>
        <scheme val="minor"/>
      </rPr>
      <t>-N/m</t>
    </r>
    <r>
      <rPr>
        <vertAlign val="superscript"/>
        <sz val="12"/>
        <color theme="1"/>
        <rFont val="Calibri (Body)"/>
      </rPr>
      <t>3</t>
    </r>
    <r>
      <rPr>
        <sz val="12"/>
        <color theme="1"/>
        <rFont val="Calibri (Body)"/>
      </rPr>
      <t>.d</t>
    </r>
  </si>
  <si>
    <t>Specific surface AnoxKaldnes K5</t>
  </si>
  <si>
    <r>
      <t>m</t>
    </r>
    <r>
      <rPr>
        <vertAlign val="superscript"/>
        <sz val="12"/>
        <color theme="1"/>
        <rFont val="Calibri (Body)"/>
      </rPr>
      <t>2</t>
    </r>
    <r>
      <rPr>
        <sz val="12"/>
        <color theme="1"/>
        <rFont val="Calibri"/>
        <family val="2"/>
        <scheme val="minor"/>
      </rPr>
      <t>/m</t>
    </r>
    <r>
      <rPr>
        <vertAlign val="superscript"/>
        <sz val="12"/>
        <color theme="1"/>
        <rFont val="Calibri (Body)"/>
      </rPr>
      <t>3</t>
    </r>
  </si>
  <si>
    <r>
      <t>(mg NO</t>
    </r>
    <r>
      <rPr>
        <b/>
        <vertAlign val="subscript"/>
        <sz val="12"/>
        <color theme="1"/>
        <rFont val="Calibri (Body)"/>
      </rPr>
      <t>3</t>
    </r>
    <r>
      <rPr>
        <b/>
        <sz val="12"/>
        <color theme="1"/>
        <rFont val="Calibri (Body)"/>
      </rPr>
      <t>-N</t>
    </r>
    <r>
      <rPr>
        <b/>
        <sz val="12"/>
        <color theme="1"/>
        <rFont val="Calibri"/>
        <family val="2"/>
        <scheme val="minor"/>
      </rPr>
      <t>/L)</t>
    </r>
  </si>
  <si>
    <t>Design flow MBBR</t>
  </si>
  <si>
    <t>Design Volume MBBR</t>
  </si>
  <si>
    <r>
      <t>(m</t>
    </r>
    <r>
      <rPr>
        <b/>
        <vertAlign val="superscript"/>
        <sz val="12"/>
        <color theme="1"/>
        <rFont val="Calibri (Body)"/>
      </rPr>
      <t>3</t>
    </r>
    <r>
      <rPr>
        <b/>
        <sz val="12"/>
        <color theme="1"/>
        <rFont val="Calibri"/>
        <family val="2"/>
        <scheme val="minor"/>
      </rPr>
      <t>/day)</t>
    </r>
  </si>
  <si>
    <r>
      <t>(m</t>
    </r>
    <r>
      <rPr>
        <b/>
        <vertAlign val="superscript"/>
        <sz val="12"/>
        <color theme="1"/>
        <rFont val="Calibri (Body)"/>
      </rPr>
      <t>3</t>
    </r>
    <r>
      <rPr>
        <b/>
        <sz val="12"/>
        <color theme="1"/>
        <rFont val="Calibri"/>
        <family val="2"/>
        <scheme val="minor"/>
      </rPr>
      <t>)</t>
    </r>
  </si>
  <si>
    <t>→</t>
  </si>
  <si>
    <t>Needed  MBBR volume</t>
  </si>
  <si>
    <t>Design mass flow MBBR</t>
  </si>
  <si>
    <r>
      <t>(kg NO</t>
    </r>
    <r>
      <rPr>
        <b/>
        <vertAlign val="subscript"/>
        <sz val="12"/>
        <color theme="1"/>
        <rFont val="Calibri (Body)"/>
      </rPr>
      <t>3</t>
    </r>
    <r>
      <rPr>
        <b/>
        <sz val="12"/>
        <color theme="1"/>
        <rFont val="Calibri"/>
        <family val="2"/>
        <scheme val="minor"/>
      </rPr>
      <t>/day)</t>
    </r>
  </si>
  <si>
    <r>
      <t>(kg NO</t>
    </r>
    <r>
      <rPr>
        <b/>
        <vertAlign val="subscript"/>
        <sz val="12"/>
        <color theme="1"/>
        <rFont val="Calibri (Body)"/>
      </rPr>
      <t>3</t>
    </r>
    <r>
      <rPr>
        <b/>
        <sz val="12"/>
        <color theme="1"/>
        <rFont val="Calibri (Body)"/>
      </rPr>
      <t>-N/</t>
    </r>
    <r>
      <rPr>
        <b/>
        <sz val="12"/>
        <color theme="1"/>
        <rFont val="Calibri"/>
        <family val="2"/>
        <scheme val="minor"/>
      </rPr>
      <t>day)</t>
    </r>
  </si>
  <si>
    <t>Denitrification rate @20°C</t>
  </si>
  <si>
    <t>θ= Arrhenius coëfficiënt</t>
  </si>
  <si>
    <t>(%)</t>
  </si>
  <si>
    <t>Total surface area AnoxKaldnes K5</t>
  </si>
  <si>
    <t>Total volume AnoxKaldnes K5</t>
  </si>
  <si>
    <r>
      <t>(m</t>
    </r>
    <r>
      <rPr>
        <b/>
        <vertAlign val="superscript"/>
        <sz val="12"/>
        <color theme="1"/>
        <rFont val="Calibri (Body)"/>
      </rPr>
      <t>2</t>
    </r>
    <r>
      <rPr>
        <b/>
        <sz val="12"/>
        <color theme="1"/>
        <rFont val="Calibri"/>
        <family val="2"/>
        <scheme val="minor"/>
      </rPr>
      <t>)</t>
    </r>
  </si>
  <si>
    <t>Maximum denitrification rate @ influent temperature</t>
  </si>
  <si>
    <r>
      <t>(kg NO</t>
    </r>
    <r>
      <rPr>
        <b/>
        <vertAlign val="subscript"/>
        <sz val="12"/>
        <color theme="1"/>
        <rFont val="Calibri (Body)"/>
      </rPr>
      <t>3</t>
    </r>
    <r>
      <rPr>
        <b/>
        <sz val="12"/>
        <color theme="1"/>
        <rFont val="Calibri (Body)"/>
      </rPr>
      <t>-N</t>
    </r>
    <r>
      <rPr>
        <b/>
        <sz val="12"/>
        <color theme="1"/>
        <rFont val="Calibri"/>
        <family val="2"/>
        <scheme val="minor"/>
      </rPr>
      <t>/day)</t>
    </r>
  </si>
  <si>
    <t>Filling grade MBBR AnoxKaldnes K5</t>
  </si>
  <si>
    <t>Maximum mass flow MBBR</t>
  </si>
  <si>
    <t>Maximum flow MBBR</t>
  </si>
  <si>
    <r>
      <t>(g NO</t>
    </r>
    <r>
      <rPr>
        <b/>
        <vertAlign val="subscript"/>
        <sz val="12"/>
        <color theme="1"/>
        <rFont val="Calibri (Body)"/>
      </rPr>
      <t>3</t>
    </r>
    <r>
      <rPr>
        <b/>
        <sz val="12"/>
        <color theme="1"/>
        <rFont val="Calibri"/>
        <family val="2"/>
        <scheme val="minor"/>
      </rPr>
      <t>-N/m</t>
    </r>
    <r>
      <rPr>
        <b/>
        <vertAlign val="superscript"/>
        <sz val="12"/>
        <color theme="1"/>
        <rFont val="Calibri (Body)"/>
      </rPr>
      <t>2</t>
    </r>
    <r>
      <rPr>
        <b/>
        <sz val="12"/>
        <color theme="1"/>
        <rFont val="Calibri"/>
        <family val="2"/>
        <scheme val="minor"/>
      </rPr>
      <t>.day)</t>
    </r>
  </si>
  <si>
    <r>
      <t>(g NO</t>
    </r>
    <r>
      <rPr>
        <b/>
        <vertAlign val="subscript"/>
        <sz val="12"/>
        <color theme="1"/>
        <rFont val="Calibri (Body)"/>
      </rPr>
      <t>3</t>
    </r>
    <r>
      <rPr>
        <b/>
        <sz val="12"/>
        <color theme="1"/>
        <rFont val="Calibri"/>
        <family val="2"/>
        <scheme val="minor"/>
      </rPr>
      <t>-N/m</t>
    </r>
    <r>
      <rPr>
        <b/>
        <vertAlign val="superscript"/>
        <sz val="12"/>
        <color theme="1"/>
        <rFont val="Calibri (Body)"/>
      </rPr>
      <t>3</t>
    </r>
    <r>
      <rPr>
        <b/>
        <sz val="12"/>
        <color theme="1"/>
        <rFont val="Calibri (Body)"/>
      </rPr>
      <t>.day)</t>
    </r>
  </si>
  <si>
    <t>Temp (°C)</t>
  </si>
  <si>
    <t>DN rate (mg N/(m3.day))</t>
  </si>
  <si>
    <r>
      <t>(m</t>
    </r>
    <r>
      <rPr>
        <b/>
        <vertAlign val="superscript"/>
        <sz val="12"/>
        <color rgb="FFFF0000"/>
        <rFont val="Calibri (Body)"/>
      </rPr>
      <t>3</t>
    </r>
    <r>
      <rPr>
        <b/>
        <sz val="12"/>
        <color rgb="FFFF0000"/>
        <rFont val="Calibri"/>
        <family val="2"/>
        <scheme val="minor"/>
      </rPr>
      <t>)</t>
    </r>
  </si>
  <si>
    <r>
      <t>(m</t>
    </r>
    <r>
      <rPr>
        <b/>
        <vertAlign val="superscript"/>
        <sz val="12"/>
        <color rgb="FFFF0000"/>
        <rFont val="Calibri (Body)"/>
      </rPr>
      <t>3</t>
    </r>
    <r>
      <rPr>
        <b/>
        <sz val="12"/>
        <color rgb="FFFF0000"/>
        <rFont val="Calibri"/>
        <family val="2"/>
        <scheme val="minor"/>
      </rPr>
      <t>/day)</t>
    </r>
  </si>
  <si>
    <t>ratio COD/N</t>
  </si>
  <si>
    <t>/</t>
  </si>
  <si>
    <t>(kg COD/day)</t>
  </si>
  <si>
    <t>Carbo ST consuption per day</t>
  </si>
  <si>
    <t>(L/day)</t>
  </si>
  <si>
    <t>(€/day)</t>
  </si>
  <si>
    <t>HRT</t>
  </si>
  <si>
    <t>(h)</t>
  </si>
  <si>
    <r>
      <t>(€/m</t>
    </r>
    <r>
      <rPr>
        <b/>
        <vertAlign val="superscript"/>
        <sz val="12"/>
        <color rgb="FFFF0000"/>
        <rFont val="Calibri (Body)"/>
      </rPr>
      <t>3</t>
    </r>
    <r>
      <rPr>
        <b/>
        <sz val="12"/>
        <color rgb="FFFF0000"/>
        <rFont val="Calibri"/>
        <family val="2"/>
        <scheme val="minor"/>
      </rPr>
      <t>)</t>
    </r>
  </si>
  <si>
    <t>Carbo ST cost per day</t>
  </si>
  <si>
    <t>type 0206</t>
  </si>
  <si>
    <t>max pump flow drainage water</t>
  </si>
  <si>
    <r>
      <t>m</t>
    </r>
    <r>
      <rPr>
        <vertAlign val="superscript"/>
        <sz val="12"/>
        <color theme="1"/>
        <rFont val="Calibri (Body)"/>
      </rPr>
      <t>3</t>
    </r>
    <r>
      <rPr>
        <sz val="12"/>
        <color theme="1"/>
        <rFont val="Calibri"/>
        <family val="2"/>
        <scheme val="minor"/>
      </rPr>
      <t>/h</t>
    </r>
  </si>
  <si>
    <t>Selenoid dosing pump setting</t>
  </si>
  <si>
    <t>(mg PO4-P/L)</t>
  </si>
  <si>
    <t>Minimal P concentration of influent</t>
  </si>
  <si>
    <t>P concentration of influent</t>
  </si>
  <si>
    <t>(kg PO4-P/day)</t>
  </si>
  <si>
    <t>(mL)</t>
  </si>
  <si>
    <t>mL of 75% H3PO4 addition to Carbo ST vessel</t>
  </si>
  <si>
    <t>Carbo ST vessel volume</t>
  </si>
  <si>
    <t>(L)</t>
  </si>
  <si>
    <t>P demand (mass flow)</t>
  </si>
  <si>
    <t>Carbon source demand (mass flow)</t>
  </si>
  <si>
    <t>ratio P/N</t>
  </si>
  <si>
    <t>m% H3PO4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</si>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</sst>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00000"/>
  </numFmts>
  <fonts count="1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vertAlign val="subscript"/>
      <sz val="12"/>
      <color theme="1"/>
      <name val="Calibri (Body)"/>
    </font>
    <font>
      <b/>
      <vertAlign val="subscript"/>
      <sz val="12"/>
      <color theme="1"/>
      <name val="Calibri (Body)"/>
    </font>
    <font>
      <vertAlign val="superscript"/>
      <sz val="12"/>
      <color theme="1"/>
      <name val="Calibri (Body)"/>
    </font>
    <font>
      <sz val="12"/>
      <color theme="1"/>
      <name val="Calibri (Body)"/>
    </font>
    <font>
      <b/>
      <sz val="12"/>
      <color theme="1"/>
      <name val="Calibri (Body)"/>
    </font>
    <font>
      <b/>
      <vertAlign val="superscript"/>
      <sz val="12"/>
      <color theme="1"/>
      <name val="Calibri (Body)"/>
    </font>
    <font>
      <b/>
      <sz val="12"/>
      <color rgb="FFFF0000"/>
      <name val="Calibri"/>
      <family val="2"/>
      <scheme val="minor"/>
    </font>
    <font>
      <b/>
      <vertAlign val="superscript"/>
      <sz val="12"/>
      <color rgb="FFFF0000"/>
      <name val="Calibri (Body)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/>
    <xf numFmtId="2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2" borderId="0" xfId="0" applyFont="1" applyFill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2" xfId="0" applyFont="1" applyBorder="1"/>
    <xf numFmtId="0" fontId="0" fillId="0" borderId="2" xfId="0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1" fontId="0" fillId="0" borderId="0" xfId="0" applyNumberFormat="1" applyFont="1" applyBorder="1" applyAlignment="1">
      <alignment horizontal="center"/>
    </xf>
    <xf numFmtId="0" fontId="2" fillId="0" borderId="0" xfId="0" applyFont="1" applyFill="1" applyBorder="1"/>
    <xf numFmtId="0" fontId="9" fillId="0" borderId="0" xfId="0" applyFont="1" applyBorder="1"/>
    <xf numFmtId="0" fontId="9" fillId="0" borderId="1" xfId="0" applyFont="1" applyBorder="1"/>
    <xf numFmtId="0" fontId="9" fillId="0" borderId="2" xfId="0" applyFont="1" applyBorder="1"/>
    <xf numFmtId="0" fontId="9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1" fontId="0" fillId="0" borderId="0" xfId="0" applyNumberFormat="1" applyFont="1" applyFill="1" applyAlignment="1">
      <alignment horizontal="center"/>
    </xf>
    <xf numFmtId="164" fontId="1" fillId="0" borderId="0" xfId="0" applyNumberFormat="1" applyFont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165" fontId="0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5" fontId="0" fillId="0" borderId="0" xfId="0" applyNumberFormat="1" applyFont="1"/>
    <xf numFmtId="2" fontId="1" fillId="0" borderId="0" xfId="0" applyNumberFormat="1" applyFont="1"/>
    <xf numFmtId="165" fontId="0" fillId="0" borderId="1" xfId="0" applyNumberFormat="1" applyFont="1" applyBorder="1"/>
    <xf numFmtId="9" fontId="0" fillId="0" borderId="0" xfId="0" applyNumberFormat="1" applyFont="1" applyAlignment="1">
      <alignment horizontal="center"/>
    </xf>
    <xf numFmtId="9" fontId="0" fillId="0" borderId="0" xfId="0" applyNumberFormat="1" applyFont="1"/>
    <xf numFmtId="166" fontId="0" fillId="0" borderId="0" xfId="0" applyNumberFormat="1" applyFont="1" applyAlignment="1">
      <alignment horizontal="center"/>
    </xf>
    <xf numFmtId="165" fontId="0" fillId="2" borderId="0" xfId="0" applyNumberFormat="1" applyFont="1" applyFill="1" applyAlignment="1">
      <alignment horizontal="center"/>
    </xf>
    <xf numFmtId="1" fontId="0" fillId="2" borderId="0" xfId="0" applyNumberFormat="1" applyFont="1" applyFill="1" applyAlignment="1">
      <alignment horizontal="center"/>
    </xf>
    <xf numFmtId="164" fontId="0" fillId="0" borderId="0" xfId="0" applyNumberFormat="1" applyFont="1"/>
    <xf numFmtId="165" fontId="1" fillId="0" borderId="0" xfId="0" applyNumberFormat="1" applyFont="1"/>
    <xf numFmtId="0" fontId="0" fillId="0" borderId="0" xfId="0" applyFont="1" applyFill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381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Sheet2!$E$2:$E$26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Sheet2!$F$2:$F$26</c:f>
              <c:numCache>
                <c:formatCode>General</c:formatCode>
                <c:ptCount val="25"/>
                <c:pt idx="0">
                  <c:v>0.26686958374027703</c:v>
                </c:pt>
                <c:pt idx="1">
                  <c:v>0.286084193769577</c:v>
                </c:pt>
                <c:pt idx="2">
                  <c:v>0.30668225572098651</c:v>
                </c:pt>
                <c:pt idx="3">
                  <c:v>0.32876337813289758</c:v>
                </c:pt>
                <c:pt idx="4">
                  <c:v>0.35243434135846635</c:v>
                </c:pt>
                <c:pt idx="5">
                  <c:v>0.37780961393627593</c:v>
                </c:pt>
                <c:pt idx="6">
                  <c:v>0.40501190613968785</c:v>
                </c:pt>
                <c:pt idx="7">
                  <c:v>0.43417276338174543</c:v>
                </c:pt>
                <c:pt idx="8">
                  <c:v>0.46543320234523111</c:v>
                </c:pt>
                <c:pt idx="9">
                  <c:v>0.49894439291408776</c:v>
                </c:pt>
                <c:pt idx="10">
                  <c:v>0.53486838920390223</c:v>
                </c:pt>
                <c:pt idx="11">
                  <c:v>0.57337891322658319</c:v>
                </c:pt>
                <c:pt idx="12">
                  <c:v>0.6146621949788974</c:v>
                </c:pt>
                <c:pt idx="13">
                  <c:v>0.65891787301737803</c:v>
                </c:pt>
                <c:pt idx="14">
                  <c:v>0.7063599598746293</c:v>
                </c:pt>
                <c:pt idx="15">
                  <c:v>0.75721787698560261</c:v>
                </c:pt>
                <c:pt idx="16">
                  <c:v>0.81173756412856624</c:v>
                </c:pt>
                <c:pt idx="17">
                  <c:v>0.87018266874582295</c:v>
                </c:pt>
                <c:pt idx="18">
                  <c:v>0.93283582089552231</c:v>
                </c:pt>
                <c:pt idx="19">
                  <c:v>1</c:v>
                </c:pt>
                <c:pt idx="20">
                  <c:v>1.0720000000000001</c:v>
                </c:pt>
                <c:pt idx="21">
                  <c:v>1.1491840000000002</c:v>
                </c:pt>
                <c:pt idx="22">
                  <c:v>1.2319252480000003</c:v>
                </c:pt>
                <c:pt idx="23">
                  <c:v>1.3206238658560006</c:v>
                </c:pt>
                <c:pt idx="24">
                  <c:v>1.4157087841976326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0A58-B646-A1FC-9CE5FA003F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4838720"/>
        <c:axId val="154842176"/>
      </c:scatterChart>
      <c:valAx>
        <c:axId val="1548387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Temperature (°C)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154842176"/>
        <c:crosses val="autoZero"/>
        <c:crossBetween val="midCat"/>
      </c:valAx>
      <c:valAx>
        <c:axId val="154842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Denitrification rate (mg N/(m2.day))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1548387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380999</xdr:colOff>
      <xdr:row>1</xdr:row>
      <xdr:rowOff>209549</xdr:rowOff>
    </xdr:from>
    <xdr:to>
      <xdr:col>15</xdr:col>
      <xdr:colOff>21166</xdr:colOff>
      <xdr:row>25</xdr:row>
      <xdr:rowOff>190499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7D10D9EF-8CA3-F242-B725-E706C2E9C59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zoomScaleNormal="100" workbookViewId="0">
      <selection activeCell="A20" sqref="A20"/>
    </sheetView>
  </sheetViews>
  <sheetFormatPr defaultColWidth="10.875" defaultRowHeight="15.75"/>
  <cols>
    <col min="1" max="1" width="49.125" style="1" bestFit="1" customWidth="1"/>
    <col min="2" max="2" width="23.625" style="2" customWidth="1"/>
    <col min="3" max="3" width="23.625" style="6" customWidth="1"/>
    <col min="4" max="4" width="7.125" style="6" customWidth="1"/>
    <col min="5" max="5" width="30.375" style="7" bestFit="1" customWidth="1"/>
    <col min="6" max="6" width="17.625" style="7" customWidth="1"/>
    <col min="7" max="7" width="18.375" style="7" bestFit="1" customWidth="1"/>
    <col min="8" max="16384" width="10.875" style="7"/>
  </cols>
  <sheetData>
    <row r="1" spans="1:7" ht="18.75">
      <c r="A1" s="5" t="s">
        <v>2</v>
      </c>
      <c r="B1" s="2" t="s">
        <v>4</v>
      </c>
      <c r="C1" s="11">
        <v>150</v>
      </c>
    </row>
    <row r="2" spans="1:7" ht="18.75">
      <c r="A2" s="5" t="s">
        <v>2</v>
      </c>
      <c r="B2" s="2" t="s">
        <v>26</v>
      </c>
      <c r="C2" s="33">
        <f>C1*Sheet2!B1/Sheet2!B2</f>
        <v>33.895161290322584</v>
      </c>
    </row>
    <row r="3" spans="1:7" ht="18.75">
      <c r="A3" s="5" t="s">
        <v>3</v>
      </c>
      <c r="B3" s="2" t="s">
        <v>4</v>
      </c>
      <c r="C3" s="11">
        <v>0</v>
      </c>
    </row>
    <row r="4" spans="1:7" ht="18.75">
      <c r="A4" s="5" t="s">
        <v>3</v>
      </c>
      <c r="B4" s="2" t="s">
        <v>26</v>
      </c>
      <c r="C4" s="33">
        <f>C3*Sheet2!B1/Sheet2!B2</f>
        <v>0</v>
      </c>
    </row>
    <row r="5" spans="1:7">
      <c r="A5" s="5" t="s">
        <v>0</v>
      </c>
      <c r="B5" s="2" t="s">
        <v>1</v>
      </c>
      <c r="C5" s="11">
        <v>6</v>
      </c>
      <c r="E5" s="6"/>
    </row>
    <row r="6" spans="1:7">
      <c r="A6" s="1" t="s">
        <v>44</v>
      </c>
      <c r="B6" s="2" t="s">
        <v>38</v>
      </c>
      <c r="C6" s="11">
        <v>30</v>
      </c>
    </row>
    <row r="8" spans="1:7" s="16" customFormat="1" ht="18.75">
      <c r="A8" s="12" t="s">
        <v>27</v>
      </c>
      <c r="B8" s="13" t="s">
        <v>29</v>
      </c>
      <c r="C8" s="14">
        <v>12</v>
      </c>
      <c r="D8" s="13" t="s">
        <v>31</v>
      </c>
      <c r="E8" s="29" t="s">
        <v>32</v>
      </c>
      <c r="F8" s="20" t="s">
        <v>51</v>
      </c>
      <c r="G8" s="38">
        <f>C10/C18*1000*100/C6</f>
        <v>4.4857462647892783</v>
      </c>
    </row>
    <row r="9" spans="1:7" ht="20.25">
      <c r="A9" s="1" t="s">
        <v>33</v>
      </c>
      <c r="B9" s="2" t="s">
        <v>34</v>
      </c>
      <c r="C9" s="6">
        <f>(C1-C3)*C8*1000/1000000</f>
        <v>1.8</v>
      </c>
      <c r="E9" s="1" t="s">
        <v>40</v>
      </c>
      <c r="F9" s="2" t="s">
        <v>30</v>
      </c>
      <c r="G9" s="8">
        <f>C10/C18*1000</f>
        <v>1.3457238794367834</v>
      </c>
    </row>
    <row r="10" spans="1:7" ht="20.25">
      <c r="A10" s="1" t="s">
        <v>33</v>
      </c>
      <c r="B10" s="2" t="s">
        <v>35</v>
      </c>
      <c r="C10" s="8">
        <f>C9*Sheet2!B1/Sheet2!B2</f>
        <v>0.40674193548387094</v>
      </c>
      <c r="E10" s="1" t="s">
        <v>39</v>
      </c>
      <c r="F10" s="2" t="s">
        <v>41</v>
      </c>
      <c r="G10" s="10">
        <f>G9*Sheet2!B17</f>
        <v>1076.5791035494267</v>
      </c>
    </row>
    <row r="11" spans="1:7">
      <c r="C11" s="8"/>
      <c r="E11" s="1" t="s">
        <v>59</v>
      </c>
      <c r="F11" s="2" t="s">
        <v>60</v>
      </c>
      <c r="G11" s="10">
        <f>G8/C8*24</f>
        <v>8.9714925295785566</v>
      </c>
    </row>
    <row r="13" spans="1:7" s="16" customFormat="1" ht="20.25">
      <c r="A13" s="12" t="s">
        <v>28</v>
      </c>
      <c r="B13" s="13" t="s">
        <v>30</v>
      </c>
      <c r="C13" s="14">
        <v>4.5</v>
      </c>
      <c r="D13" s="13" t="s">
        <v>31</v>
      </c>
      <c r="E13" s="12" t="s">
        <v>45</v>
      </c>
      <c r="F13" s="13" t="s">
        <v>43</v>
      </c>
      <c r="G13" s="19">
        <f>C17*C15/1000</f>
        <v>0.40803438305117801</v>
      </c>
    </row>
    <row r="14" spans="1:7" ht="18.75">
      <c r="A14" s="1" t="s">
        <v>40</v>
      </c>
      <c r="B14" s="2" t="s">
        <v>30</v>
      </c>
      <c r="C14" s="6">
        <f>C13*C6/100</f>
        <v>1.35</v>
      </c>
      <c r="E14" s="28" t="s">
        <v>46</v>
      </c>
      <c r="F14" s="21" t="s">
        <v>52</v>
      </c>
      <c r="G14" s="34">
        <f>G13/(C1-C3)/1000*1000000/Sheet2!B1*Sheet2!B2</f>
        <v>12.038130739554147</v>
      </c>
    </row>
    <row r="15" spans="1:7" ht="18.75">
      <c r="A15" s="1" t="s">
        <v>39</v>
      </c>
      <c r="B15" s="2" t="s">
        <v>41</v>
      </c>
      <c r="C15" s="6">
        <f>C14*Sheet2!B17</f>
        <v>1080</v>
      </c>
      <c r="E15" s="27" t="s">
        <v>59</v>
      </c>
      <c r="F15" s="2" t="s">
        <v>60</v>
      </c>
      <c r="G15" s="10">
        <f>C13/G14*24</f>
        <v>8.9714925295785548</v>
      </c>
    </row>
    <row r="17" spans="1:5" s="16" customFormat="1" ht="20.25">
      <c r="A17" s="12" t="s">
        <v>42</v>
      </c>
      <c r="B17" s="13" t="s">
        <v>47</v>
      </c>
      <c r="C17" s="19">
        <f>Sheet2!B15*Sheet2!B18^(Sheet1!C5-20)</f>
        <v>0.37780961393627593</v>
      </c>
      <c r="D17" s="15"/>
    </row>
    <row r="18" spans="1:5" s="25" customFormat="1" ht="20.25">
      <c r="A18" s="17" t="s">
        <v>42</v>
      </c>
      <c r="B18" s="18" t="s">
        <v>48</v>
      </c>
      <c r="C18" s="26">
        <f>C17*Sheet2!B17</f>
        <v>302.24769114902074</v>
      </c>
      <c r="D18" s="24"/>
    </row>
    <row r="19" spans="1:5" s="25" customFormat="1">
      <c r="A19" s="17"/>
      <c r="B19" s="18"/>
      <c r="C19" s="24"/>
      <c r="D19" s="24"/>
    </row>
    <row r="20" spans="1:5" s="16" customFormat="1">
      <c r="A20" s="12" t="s">
        <v>76</v>
      </c>
      <c r="B20" s="13" t="s">
        <v>55</v>
      </c>
      <c r="C20" s="35">
        <f>C10*Sheet2!B19</f>
        <v>3.2539354838709675</v>
      </c>
      <c r="D20" s="15"/>
      <c r="E20" s="41">
        <f>G13*Sheet2!B19</f>
        <v>3.2642750644094241</v>
      </c>
    </row>
    <row r="21" spans="1:5">
      <c r="A21" s="22" t="s">
        <v>56</v>
      </c>
      <c r="B21" s="2" t="s">
        <v>57</v>
      </c>
      <c r="C21" s="36">
        <f>C20/Sheet2!B21</f>
        <v>2.169290322580645</v>
      </c>
      <c r="E21" s="39">
        <f>E20/Sheet2!B21</f>
        <v>2.1761833762729492</v>
      </c>
    </row>
    <row r="22" spans="1:5">
      <c r="A22" s="22" t="s">
        <v>66</v>
      </c>
      <c r="B22" s="2" t="s">
        <v>38</v>
      </c>
      <c r="C22" s="42">
        <f>C21/(Sheet1!C8/(Sheet2!B14*24)*24)/Sheet2!B13</f>
        <v>0.18077419354838709</v>
      </c>
      <c r="E22" s="43">
        <f>E21/(Sheet1!C8/(Sheet2!B14*24)*24)/Sheet2!B13</f>
        <v>0.18134861468941244</v>
      </c>
    </row>
    <row r="23" spans="1:5">
      <c r="A23" s="30" t="s">
        <v>62</v>
      </c>
      <c r="B23" s="31" t="s">
        <v>58</v>
      </c>
      <c r="C23" s="37">
        <f>C21*Sheet2!B22*Sheet2!B23</f>
        <v>2.3455451612903224</v>
      </c>
      <c r="E23" s="48">
        <f>E21*Sheet2!B22*Sheet2!B23</f>
        <v>2.3529982755951262</v>
      </c>
    </row>
    <row r="24" spans="1:5" ht="18.75">
      <c r="B24" s="31" t="s">
        <v>61</v>
      </c>
      <c r="C24" s="32">
        <f>C23/C8</f>
        <v>0.19546209677419354</v>
      </c>
      <c r="E24" s="40">
        <f>C23/G14</f>
        <v>0.19484297122504868</v>
      </c>
    </row>
    <row r="25" spans="1:5" s="16" customFormat="1">
      <c r="A25" s="12" t="s">
        <v>68</v>
      </c>
      <c r="B25" s="13" t="s">
        <v>67</v>
      </c>
      <c r="C25" s="35">
        <f>C2*Sheet2!B20</f>
        <v>2.965826612903226E-2</v>
      </c>
      <c r="D25" s="15"/>
    </row>
    <row r="26" spans="1:5">
      <c r="A26" s="1" t="s">
        <v>69</v>
      </c>
      <c r="B26" s="2" t="s">
        <v>67</v>
      </c>
      <c r="C26" s="45">
        <v>0</v>
      </c>
    </row>
    <row r="27" spans="1:5">
      <c r="A27" s="1" t="s">
        <v>75</v>
      </c>
      <c r="B27" s="2" t="s">
        <v>70</v>
      </c>
      <c r="C27" s="44">
        <f>(C25-C26)*C8*1000/1000000</f>
        <v>3.5589919354838713E-4</v>
      </c>
    </row>
    <row r="28" spans="1:5">
      <c r="A28" s="1" t="s">
        <v>73</v>
      </c>
      <c r="B28" s="2" t="s">
        <v>74</v>
      </c>
      <c r="C28" s="46">
        <v>20</v>
      </c>
    </row>
    <row r="29" spans="1:5">
      <c r="A29" s="1" t="s">
        <v>72</v>
      </c>
      <c r="B29" s="2" t="s">
        <v>71</v>
      </c>
      <c r="C29" s="9">
        <f>C27*Sheet2!B5/Sheet2!B3/Sheet2!B10*1000*100/Sheet2!B11*C28/C21</f>
        <v>10.178819873121995</v>
      </c>
      <c r="E29" s="47"/>
    </row>
    <row r="31" spans="1:5" s="16" customFormat="1">
      <c r="A31" s="12"/>
      <c r="B31" s="13"/>
      <c r="C31" s="15"/>
      <c r="D31" s="1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zoomScale="120" zoomScaleNormal="120" workbookViewId="0">
      <selection activeCell="A10" sqref="A10"/>
    </sheetView>
  </sheetViews>
  <sheetFormatPr defaultColWidth="11" defaultRowHeight="15.75"/>
  <cols>
    <col min="1" max="1" width="27.875" bestFit="1" customWidth="1"/>
    <col min="6" max="6" width="22.375" bestFit="1" customWidth="1"/>
  </cols>
  <sheetData>
    <row r="1" spans="1:6">
      <c r="A1" t="s">
        <v>5</v>
      </c>
      <c r="B1">
        <v>14.01</v>
      </c>
      <c r="C1" t="s">
        <v>6</v>
      </c>
      <c r="E1" s="3" t="s">
        <v>49</v>
      </c>
      <c r="F1" s="3" t="s">
        <v>50</v>
      </c>
    </row>
    <row r="2" spans="1:6" ht="19.5">
      <c r="A2" t="s">
        <v>7</v>
      </c>
      <c r="B2">
        <v>62</v>
      </c>
      <c r="C2" t="s">
        <v>6</v>
      </c>
      <c r="E2" s="3">
        <v>1</v>
      </c>
      <c r="F2" s="3">
        <f>$B$15*$B$18^(E2-20)</f>
        <v>0.26686958374027703</v>
      </c>
    </row>
    <row r="3" spans="1:6">
      <c r="A3" t="s">
        <v>8</v>
      </c>
      <c r="B3">
        <v>30.97</v>
      </c>
      <c r="C3" t="s">
        <v>6</v>
      </c>
      <c r="E3" s="3">
        <v>2</v>
      </c>
      <c r="F3" s="3">
        <f t="shared" ref="F3:F26" si="0">$B$15*$B$18^(E3-20)</f>
        <v>0.286084193769577</v>
      </c>
    </row>
    <row r="4" spans="1:6" ht="19.5">
      <c r="A4" t="s">
        <v>9</v>
      </c>
      <c r="B4">
        <v>91.97</v>
      </c>
      <c r="C4" t="s">
        <v>6</v>
      </c>
      <c r="E4" s="3">
        <v>3</v>
      </c>
      <c r="F4" s="3">
        <f t="shared" si="0"/>
        <v>0.30668225572098651</v>
      </c>
    </row>
    <row r="5" spans="1:6" ht="19.5">
      <c r="A5" t="s">
        <v>10</v>
      </c>
      <c r="B5">
        <v>97.994</v>
      </c>
      <c r="C5" t="s">
        <v>6</v>
      </c>
      <c r="E5" s="3">
        <v>4</v>
      </c>
      <c r="F5" s="3">
        <f t="shared" si="0"/>
        <v>0.32876337813289758</v>
      </c>
    </row>
    <row r="6" spans="1:6" ht="19.5">
      <c r="A6" t="s">
        <v>11</v>
      </c>
      <c r="B6">
        <v>80.043000000000006</v>
      </c>
      <c r="C6" t="s">
        <v>6</v>
      </c>
      <c r="E6" s="3">
        <v>5</v>
      </c>
      <c r="F6" s="3">
        <f t="shared" si="0"/>
        <v>0.35243434135846635</v>
      </c>
    </row>
    <row r="7" spans="1:6" ht="19.5">
      <c r="A7" t="s">
        <v>12</v>
      </c>
      <c r="B7">
        <v>1.1232</v>
      </c>
      <c r="C7" t="s">
        <v>13</v>
      </c>
      <c r="E7" s="3">
        <v>6</v>
      </c>
      <c r="F7" s="3">
        <f t="shared" si="0"/>
        <v>0.37780961393627593</v>
      </c>
    </row>
    <row r="8" spans="1:6">
      <c r="A8" t="s">
        <v>14</v>
      </c>
      <c r="B8">
        <v>1.1000000000000001</v>
      </c>
      <c r="C8" t="s">
        <v>15</v>
      </c>
      <c r="E8" s="3">
        <v>7</v>
      </c>
      <c r="F8" s="3">
        <f t="shared" si="0"/>
        <v>0.40501190613968785</v>
      </c>
    </row>
    <row r="9" spans="1:6">
      <c r="A9" t="s">
        <v>16</v>
      </c>
      <c r="B9">
        <v>0.67</v>
      </c>
      <c r="C9" t="s">
        <v>17</v>
      </c>
      <c r="E9" s="3">
        <v>8</v>
      </c>
      <c r="F9" s="3">
        <f t="shared" si="0"/>
        <v>0.43417276338174543</v>
      </c>
    </row>
    <row r="10" spans="1:6" ht="19.5">
      <c r="A10" t="s">
        <v>18</v>
      </c>
      <c r="B10">
        <f>34/25</f>
        <v>1.36</v>
      </c>
      <c r="C10" t="s">
        <v>15</v>
      </c>
      <c r="E10" s="3">
        <v>9</v>
      </c>
      <c r="F10" s="3">
        <f t="shared" si="0"/>
        <v>0.46543320234523111</v>
      </c>
    </row>
    <row r="11" spans="1:6">
      <c r="A11" t="s">
        <v>78</v>
      </c>
      <c r="B11">
        <v>75</v>
      </c>
      <c r="C11" t="s">
        <v>79</v>
      </c>
      <c r="E11" s="3">
        <v>10</v>
      </c>
      <c r="F11" s="3">
        <f t="shared" si="0"/>
        <v>0.49894439291408776</v>
      </c>
    </row>
    <row r="12" spans="1:6" ht="19.5">
      <c r="A12" t="s">
        <v>19</v>
      </c>
      <c r="B12" s="4">
        <v>2</v>
      </c>
      <c r="C12" t="s">
        <v>17</v>
      </c>
      <c r="E12" s="3">
        <v>11</v>
      </c>
      <c r="F12" s="3">
        <f t="shared" si="0"/>
        <v>0.53486838920390223</v>
      </c>
    </row>
    <row r="13" spans="1:6">
      <c r="A13" t="s">
        <v>20</v>
      </c>
      <c r="B13">
        <v>2</v>
      </c>
      <c r="C13" t="s">
        <v>21</v>
      </c>
      <c r="D13" s="1" t="s">
        <v>63</v>
      </c>
      <c r="E13" s="3">
        <v>12</v>
      </c>
      <c r="F13" s="3">
        <f t="shared" si="0"/>
        <v>0.57337891322658319</v>
      </c>
    </row>
    <row r="14" spans="1:6" ht="18.75">
      <c r="A14" t="s">
        <v>64</v>
      </c>
      <c r="B14">
        <v>2</v>
      </c>
      <c r="C14" t="s">
        <v>65</v>
      </c>
      <c r="E14" s="3">
        <v>13</v>
      </c>
      <c r="F14" s="3">
        <f t="shared" si="0"/>
        <v>0.6146621949788974</v>
      </c>
    </row>
    <row r="15" spans="1:6" ht="20.25">
      <c r="A15" t="s">
        <v>36</v>
      </c>
      <c r="B15">
        <v>1</v>
      </c>
      <c r="C15" t="s">
        <v>22</v>
      </c>
      <c r="E15" s="3">
        <v>14</v>
      </c>
      <c r="F15" s="3">
        <f t="shared" si="0"/>
        <v>0.65891787301737803</v>
      </c>
    </row>
    <row r="16" spans="1:6" ht="20.25">
      <c r="A16" t="s">
        <v>36</v>
      </c>
      <c r="B16">
        <f>B15*B17</f>
        <v>800</v>
      </c>
      <c r="C16" t="s">
        <v>23</v>
      </c>
      <c r="E16" s="3">
        <v>15</v>
      </c>
      <c r="F16" s="3">
        <f t="shared" si="0"/>
        <v>0.7063599598746293</v>
      </c>
    </row>
    <row r="17" spans="1:6" ht="18.75">
      <c r="A17" t="s">
        <v>24</v>
      </c>
      <c r="B17">
        <v>800</v>
      </c>
      <c r="C17" t="s">
        <v>25</v>
      </c>
      <c r="E17" s="3">
        <v>16</v>
      </c>
      <c r="F17" s="3">
        <f t="shared" si="0"/>
        <v>0.75721787698560261</v>
      </c>
    </row>
    <row r="18" spans="1:6">
      <c r="A18" t="s">
        <v>37</v>
      </c>
      <c r="B18">
        <v>1.0720000000000001</v>
      </c>
      <c r="E18" s="3">
        <v>17</v>
      </c>
      <c r="F18" s="3">
        <f t="shared" si="0"/>
        <v>0.81173756412856624</v>
      </c>
    </row>
    <row r="19" spans="1:6">
      <c r="A19" s="23" t="s">
        <v>53</v>
      </c>
      <c r="B19" s="7">
        <v>8</v>
      </c>
      <c r="C19" s="7" t="s">
        <v>54</v>
      </c>
      <c r="E19" s="3">
        <v>18</v>
      </c>
      <c r="F19" s="3">
        <f t="shared" si="0"/>
        <v>0.87018266874582295</v>
      </c>
    </row>
    <row r="20" spans="1:6">
      <c r="A20" s="49" t="s">
        <v>77</v>
      </c>
      <c r="B20" s="7">
        <v>8.7500000000000002E-4</v>
      </c>
      <c r="C20" s="7" t="s">
        <v>54</v>
      </c>
      <c r="E20" s="3">
        <v>19</v>
      </c>
      <c r="F20" s="3">
        <f t="shared" si="0"/>
        <v>0.93283582089552231</v>
      </c>
    </row>
    <row r="21" spans="1:6" ht="19.5">
      <c r="A21" t="s">
        <v>12</v>
      </c>
      <c r="B21">
        <v>1.5</v>
      </c>
      <c r="C21" t="s">
        <v>13</v>
      </c>
      <c r="E21" s="3">
        <v>20</v>
      </c>
      <c r="F21" s="3">
        <f t="shared" si="0"/>
        <v>1</v>
      </c>
    </row>
    <row r="22" spans="1:6">
      <c r="A22" t="s">
        <v>14</v>
      </c>
      <c r="B22">
        <v>1.25</v>
      </c>
      <c r="C22" t="s">
        <v>15</v>
      </c>
      <c r="E22" s="3">
        <v>21</v>
      </c>
      <c r="F22" s="3">
        <f>$B$15*$B$18^(E22-20)</f>
        <v>1.0720000000000001</v>
      </c>
    </row>
    <row r="23" spans="1:6">
      <c r="A23" t="s">
        <v>16</v>
      </c>
      <c r="B23">
        <v>0.86499999999999999</v>
      </c>
      <c r="C23" t="s">
        <v>17</v>
      </c>
      <c r="E23" s="3">
        <v>22</v>
      </c>
      <c r="F23" s="3">
        <f t="shared" si="0"/>
        <v>1.1491840000000002</v>
      </c>
    </row>
    <row r="24" spans="1:6">
      <c r="E24" s="3">
        <v>23</v>
      </c>
      <c r="F24" s="3">
        <f t="shared" si="0"/>
        <v>1.2319252480000003</v>
      </c>
    </row>
    <row r="25" spans="1:6">
      <c r="E25" s="3">
        <v>24</v>
      </c>
      <c r="F25" s="3">
        <f t="shared" si="0"/>
        <v>1.3206238658560006</v>
      </c>
    </row>
    <row r="26" spans="1:6">
      <c r="E26" s="3">
        <v>25</v>
      </c>
      <c r="F26" s="3">
        <f t="shared" si="0"/>
        <v>1.4157087841976326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FE43EE5FC9E0546B7AF8CCF1FD08084" ma:contentTypeVersion="2" ma:contentTypeDescription="Een nieuw document maken." ma:contentTypeScope="" ma:versionID="f3fc226992f42688fb0e62af0c62da12">
  <xsd:schema xmlns:xsd="http://www.w3.org/2001/XMLSchema" xmlns:xs="http://www.w3.org/2001/XMLSchema" xmlns:p="http://schemas.microsoft.com/office/2006/metadata/properties" xmlns:ns2="aa9dd03d-4299-4fa8-a1f7-ba14f685fce4" targetNamespace="http://schemas.microsoft.com/office/2006/metadata/properties" ma:root="true" ma:fieldsID="61da1fadfeed4174db2f0f60662a87dd" ns2:_="">
    <xsd:import namespace="aa9dd03d-4299-4fa8-a1f7-ba14f685fce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9dd03d-4299-4fa8-a1f7-ba14f685fc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484DCEA-D24B-4C13-AB53-73101F8F59B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6A08D6D-8EF6-4F8E-8A83-219C221C57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a9dd03d-4299-4fa8-a1f7-ba14f685fce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8F9EF95-F7B8-4C16-9931-D8D56FFA0218}">
  <ds:schemaRefs>
    <ds:schemaRef ds:uri="http://purl.org/dc/dcmitype/"/>
    <ds:schemaRef ds:uri="http://schemas.openxmlformats.org/package/2006/metadata/core-properties"/>
    <ds:schemaRef ds:uri="aa9dd03d-4299-4fa8-a1f7-ba14f685fce4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Guy Stuyck</cp:lastModifiedBy>
  <dcterms:created xsi:type="dcterms:W3CDTF">2020-02-12T14:38:21Z</dcterms:created>
  <dcterms:modified xsi:type="dcterms:W3CDTF">2021-03-04T10:35:24Z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0x0101007FE43EE5FC9E0546B7AF8CCF1FD08084</vt:lpwstr>
  </property>
</Properties>
</file>